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81\AppData\Local\Microsoft\Windows\INetCache\Content.Outlook\S7BWWN5B\"/>
    </mc:Choice>
  </mc:AlternateContent>
  <xr:revisionPtr revIDLastSave="0" documentId="8_{6DAE422B-29BC-45F2-B03B-D0AE250B2562}" xr6:coauthVersionLast="45" xr6:coauthVersionMax="45" xr10:uidLastSave="{00000000-0000-0000-0000-000000000000}"/>
  <bookViews>
    <workbookView xWindow="-120" yWindow="-120" windowWidth="29040" windowHeight="15840" activeTab="1" xr2:uid="{F1BF0AE3-30B6-47BA-A955-56395FEE9B57}"/>
  </bookViews>
  <sheets>
    <sheet name="voorblad" sheetId="4" r:id="rId1"/>
    <sheet name="akkerbouw" sheetId="1" r:id="rId2"/>
    <sheet name="melkvee" sheetId="3" r:id="rId3"/>
  </sheets>
  <definedNames>
    <definedName name="_xlnm.Print_Area" localSheetId="1">akkerbouw!$A$1:$S$125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83" i="1"/>
  <c r="H79" i="1"/>
  <c r="H10" i="1"/>
  <c r="H19" i="1" s="1"/>
  <c r="H11" i="1"/>
  <c r="H12" i="1"/>
  <c r="H13" i="1"/>
  <c r="H14" i="1"/>
  <c r="H16" i="1"/>
  <c r="H17" i="1"/>
  <c r="H43" i="1"/>
  <c r="H44" i="1"/>
  <c r="H55" i="1"/>
  <c r="H101" i="1" s="1"/>
  <c r="H89" i="1"/>
  <c r="D80" i="1"/>
  <c r="D81" i="1"/>
  <c r="D82" i="1"/>
  <c r="D83" i="1"/>
  <c r="D79" i="1"/>
  <c r="D84" i="1" s="1"/>
  <c r="H97" i="1" l="1"/>
  <c r="H104" i="1" s="1"/>
  <c r="H88" i="1"/>
  <c r="H92" i="1"/>
  <c r="H103" i="1" s="1"/>
  <c r="B80" i="1"/>
  <c r="B81" i="1"/>
  <c r="B82" i="1"/>
  <c r="B83" i="1"/>
  <c r="B79" i="1"/>
  <c r="A19" i="1" l="1"/>
  <c r="C75" i="1" l="1"/>
  <c r="H62" i="1"/>
  <c r="H22" i="1"/>
  <c r="H21" i="1"/>
  <c r="H24" i="1" s="1"/>
  <c r="H116" i="1" s="1"/>
  <c r="H124" i="1" s="1"/>
  <c r="H40" i="1"/>
  <c r="F46" i="3"/>
  <c r="F45" i="3"/>
  <c r="F74" i="3"/>
  <c r="F86" i="3" s="1"/>
  <c r="G11" i="3"/>
  <c r="G10" i="3"/>
  <c r="D42" i="3"/>
  <c r="D41" i="3"/>
  <c r="F30" i="3"/>
  <c r="F34" i="3" s="1"/>
  <c r="F13" i="3" l="1"/>
  <c r="G78" i="3" s="1"/>
  <c r="G81" i="3" s="1"/>
  <c r="F87" i="3" s="1"/>
  <c r="F83" i="3"/>
  <c r="F39" i="3"/>
  <c r="F17" i="3"/>
  <c r="F21" i="3" s="1"/>
  <c r="F18" i="3" l="1"/>
  <c r="F60" i="3"/>
  <c r="F64" i="3"/>
  <c r="F85" i="3" l="1"/>
  <c r="F25" i="3" l="1"/>
  <c r="F24" i="3"/>
  <c r="F20" i="3"/>
  <c r="F42" i="3"/>
  <c r="F49" i="3" s="1"/>
  <c r="F41" i="3"/>
  <c r="F48" i="3" l="1"/>
  <c r="F51" i="3" s="1"/>
  <c r="F56" i="3" s="1"/>
  <c r="F84" i="3" s="1"/>
  <c r="F89" i="3" s="1"/>
  <c r="I32" i="1" l="1"/>
  <c r="I31" i="1"/>
  <c r="H34" i="1" s="1"/>
  <c r="I121" i="1"/>
  <c r="I120" i="1"/>
  <c r="I119" i="1"/>
  <c r="I118" i="1"/>
  <c r="H35" i="1" l="1"/>
  <c r="H99" i="1" s="1"/>
  <c r="H63" i="1"/>
  <c r="H64" i="1" s="1"/>
  <c r="H69" i="1" s="1"/>
  <c r="H102" i="1" s="1"/>
  <c r="H42" i="1"/>
  <c r="H46" i="1" s="1"/>
  <c r="H100" i="1" s="1"/>
  <c r="H107" i="1" l="1"/>
  <c r="I116" i="1" s="1"/>
  <c r="I124" i="1" s="1"/>
</calcChain>
</file>

<file path=xl/sharedStrings.xml><?xml version="1.0" encoding="utf-8"?>
<sst xmlns="http://schemas.openxmlformats.org/spreadsheetml/2006/main" count="229" uniqueCount="165">
  <si>
    <t>HULPMIDDEL voor het berekenen van schade door 7e nitraatrichtlijn</t>
  </si>
  <si>
    <t xml:space="preserve">ha </t>
  </si>
  <si>
    <t>suikerbieten</t>
  </si>
  <si>
    <t>uien</t>
  </si>
  <si>
    <t>ha</t>
  </si>
  <si>
    <t>winterpeen</t>
  </si>
  <si>
    <t>mais</t>
  </si>
  <si>
    <t>saldo</t>
  </si>
  <si>
    <t>besparing</t>
  </si>
  <si>
    <t>jaarlijkse investeringen</t>
  </si>
  <si>
    <t>1.</t>
  </si>
  <si>
    <t>25% rustgewassen</t>
  </si>
  <si>
    <t>2.</t>
  </si>
  <si>
    <t>brede stroken langs watergangen</t>
  </si>
  <si>
    <t>3.</t>
  </si>
  <si>
    <t>meer vanggewassen</t>
  </si>
  <si>
    <t>4.</t>
  </si>
  <si>
    <t xml:space="preserve">oogsten voor 1 oktober </t>
  </si>
  <si>
    <t>5.</t>
  </si>
  <si>
    <t>samenwerking met (melk)veehouders</t>
  </si>
  <si>
    <t>totale oppervlakte die ontbreekt</t>
  </si>
  <si>
    <t>schade</t>
  </si>
  <si>
    <t>bedrijfstoeslag</t>
  </si>
  <si>
    <t>mestopbrengst</t>
  </si>
  <si>
    <t>totaal saldo</t>
  </si>
  <si>
    <t>totaal oppervlakte gerelateerde opbrengst</t>
  </si>
  <si>
    <t>opbrengst</t>
  </si>
  <si>
    <t>huidig percentage rustgewas</t>
  </si>
  <si>
    <t>andere rustgewassen</t>
  </si>
  <si>
    <t>graan</t>
  </si>
  <si>
    <t>aardappelen</t>
  </si>
  <si>
    <t>wordt</t>
  </si>
  <si>
    <t>extra rustgewas</t>
  </si>
  <si>
    <t>hectare</t>
  </si>
  <si>
    <t>rustgewassen:</t>
  </si>
  <si>
    <t>overige gewassen:</t>
  </si>
  <si>
    <t>saldo rustgewas</t>
  </si>
  <si>
    <t>schade door minder saldo</t>
  </si>
  <si>
    <t>aantal hectares meer in te zaaien vanggewas</t>
  </si>
  <si>
    <t>huidige hectares vanggewas</t>
  </si>
  <si>
    <t>60% areaal vanggewas</t>
  </si>
  <si>
    <t>kosten zaaizaad per hectare</t>
  </si>
  <si>
    <t>kosten bewerkingen per hectare</t>
  </si>
  <si>
    <t>totaal extra kosten vanggewassen</t>
  </si>
  <si>
    <t>% minder</t>
  </si>
  <si>
    <t xml:space="preserve">totaal minder </t>
  </si>
  <si>
    <t>minder ruilgrond</t>
  </si>
  <si>
    <t>duurdere mest</t>
  </si>
  <si>
    <t>hogere pacht</t>
  </si>
  <si>
    <t>totaal minder</t>
  </si>
  <si>
    <t>…..</t>
  </si>
  <si>
    <t>totale schade</t>
  </si>
  <si>
    <t>De groene cellen kunnen zelf ingevuld worden / sommige zijn al gevuld met een schatting</t>
  </si>
  <si>
    <t>deze moeten ingevuld worden om een berekening voor je eigen bedrijf te krijgen</t>
  </si>
  <si>
    <t>EFFECT 7e NITRAATRICHTLIJN</t>
  </si>
  <si>
    <t>rooikosten (meer capaciteit)</t>
  </si>
  <si>
    <t>in kortere tijd meer kunnen rooien</t>
  </si>
  <si>
    <t>kwaliteitsverlies aardappelen</t>
  </si>
  <si>
    <t>bewaarverlies aardappelen</t>
  </si>
  <si>
    <t>bewaarverlies suikerbieten</t>
  </si>
  <si>
    <t>overige bewaarverliezen</t>
  </si>
  <si>
    <t>lager onderwatergewicht / meer rooibeschadiging</t>
  </si>
  <si>
    <t>6.</t>
  </si>
  <si>
    <t>meeropbrengst bij niet-rustgewassen</t>
  </si>
  <si>
    <t>door meer organische stof/ mogelijkheid natuurlijke aaltjesbestrijding</t>
  </si>
  <si>
    <t>saldo van het vervangen gewas</t>
  </si>
  <si>
    <t xml:space="preserve">loonwerktarief </t>
  </si>
  <si>
    <t>FINANCIELE SITUATIE VOOR EN NA INVOERING</t>
  </si>
  <si>
    <t>oppervlakte gerelateerde opbrengst</t>
  </si>
  <si>
    <t>gemiddeld per jaar:</t>
  </si>
  <si>
    <t>vóór</t>
  </si>
  <si>
    <t>ná</t>
  </si>
  <si>
    <t>4 t/m 6 GELDT ALLEEN VOOR ZAND- EN LÖSSGRONDEN / KLEI- EN VEEN KUNNEN NOG DE FINANCIELE TOTAALSITUATIE INVULLEN ONDERAAN</t>
  </si>
  <si>
    <t>huidige strook</t>
  </si>
  <si>
    <t>breedte van extra strook</t>
  </si>
  <si>
    <t>meter watergangen (maal 2 meter minus huidige strook)</t>
  </si>
  <si>
    <t>meter langs beken en rivieren (kwetsbare natuur - maal 5 meter minus huidige strook)</t>
  </si>
  <si>
    <t>nee</t>
  </si>
  <si>
    <t>afstand éénzijdig gemeten</t>
  </si>
  <si>
    <t>aflossing schulden (financiering&amp;bank)</t>
  </si>
  <si>
    <t>bijdrage bedrijf aan privé-inkomen</t>
  </si>
  <si>
    <t>overige zakelijke uitgaven (excl. afschrijving)</t>
  </si>
  <si>
    <t>als je nu de 5% EA volledig invult via groenbemesters</t>
  </si>
  <si>
    <t xml:space="preserve">grasland </t>
  </si>
  <si>
    <t xml:space="preserve">bouwland </t>
  </si>
  <si>
    <t xml:space="preserve">kg N </t>
  </si>
  <si>
    <t>m3 rundveedrijfmest</t>
  </si>
  <si>
    <t>N</t>
  </si>
  <si>
    <t xml:space="preserve">kg P </t>
  </si>
  <si>
    <t>P</t>
  </si>
  <si>
    <t>bouwland</t>
  </si>
  <si>
    <t xml:space="preserve">m3 rundveedrijfmest </t>
  </si>
  <si>
    <t>grasland</t>
  </si>
  <si>
    <t>(hoogste aantal kuub invoeren)</t>
  </si>
  <si>
    <t>m3 afvoeren mest</t>
  </si>
  <si>
    <t xml:space="preserve">m3 afvoeren mest </t>
  </si>
  <si>
    <t xml:space="preserve">totaal </t>
  </si>
  <si>
    <t xml:space="preserve">m3 afvoeren </t>
  </si>
  <si>
    <t>kosten m3 Rundveedrijfmest</t>
  </si>
  <si>
    <t>totaal kosten extra afvoer</t>
  </si>
  <si>
    <t xml:space="preserve">ds productie grasland </t>
  </si>
  <si>
    <t>kg ds</t>
  </si>
  <si>
    <t>ds productie bouwland</t>
  </si>
  <si>
    <t>productie derving grasland</t>
  </si>
  <si>
    <t>productie derving bouwland</t>
  </si>
  <si>
    <t>totaal</t>
  </si>
  <si>
    <t>prijs per kg ds</t>
  </si>
  <si>
    <t>Opbrengstderving</t>
  </si>
  <si>
    <t>prijs per betalingsrecht</t>
  </si>
  <si>
    <t>betalingsrechten</t>
  </si>
  <si>
    <t>A. kosten mestafvoer</t>
  </si>
  <si>
    <t>B. opbrengstderving</t>
  </si>
  <si>
    <t>C. betalingsrechten</t>
  </si>
  <si>
    <t xml:space="preserve">inkomstenderving </t>
  </si>
  <si>
    <t>samenwerking met akkerbouwers en overige</t>
  </si>
  <si>
    <t>duurdere mestafzet</t>
  </si>
  <si>
    <t xml:space="preserve">minder ruilgrond </t>
  </si>
  <si>
    <t>door minder ruilgrond</t>
  </si>
  <si>
    <t>opbrengstderving blijvend grasland</t>
  </si>
  <si>
    <t xml:space="preserve">Totale schade </t>
  </si>
  <si>
    <t>bredere bufferstroken</t>
  </si>
  <si>
    <t>samenwerking verslechterd</t>
  </si>
  <si>
    <t>oogsten vóór 1 oktober</t>
  </si>
  <si>
    <t>meeropbrengst</t>
  </si>
  <si>
    <t>dit blok verwijderen als je dit niet in kunt of wilt vullen</t>
  </si>
  <si>
    <t>Heeft u overwegend klei- en veengronden?</t>
  </si>
  <si>
    <t>extra mestafvoer</t>
  </si>
  <si>
    <t>opbrengstderving bufferstroken</t>
  </si>
  <si>
    <t>overige schade</t>
  </si>
  <si>
    <t>normaal</t>
  </si>
  <si>
    <t>derving/ha</t>
  </si>
  <si>
    <t>meeropbrengst door een vergoeding voor natuur op de bufferstroken</t>
  </si>
  <si>
    <t>ha natuurvergoeding</t>
  </si>
  <si>
    <t>vergoeding per hectare</t>
  </si>
  <si>
    <t>kosten per hectare</t>
  </si>
  <si>
    <t>bouwplan wordt anders</t>
  </si>
  <si>
    <t>in het 8e actieprogramma wordt gesproken over 33%</t>
  </si>
  <si>
    <t>gevolg van verplichting om vóór 1 oktober een vanggewas te zaaien</t>
  </si>
  <si>
    <t>het is onduidelijk of de betalingsrechten kunnen worden verzilverd</t>
  </si>
  <si>
    <t>voorbeeldgetallen; overschrijven met de eigen getallen</t>
  </si>
  <si>
    <t xml:space="preserve">Huidige situatie (op jaarbasis) </t>
  </si>
  <si>
    <t>gewas-</t>
  </si>
  <si>
    <t>zelf berekenen</t>
  </si>
  <si>
    <t>kostenvoorbeeld betreft rode-witte klaver</t>
  </si>
  <si>
    <t>mag ook de gemiste opbrengst zijn van aangevoerde mest</t>
  </si>
  <si>
    <t>deze kun je overschrijven met je eigen gegevens / nu staan hier voorbeeldgetallen</t>
  </si>
  <si>
    <t>gewas</t>
  </si>
  <si>
    <t>eerste kolom:</t>
  </si>
  <si>
    <t>tweede kolom:</t>
  </si>
  <si>
    <t>Het wordt verplicht om vóór 1 oktober op 60% van het areaal een vanggewas te zaaien. Dit betekent dat op mijn bedrijf</t>
  </si>
  <si>
    <t>35% van het areaal niet-rustgewassen vóór 1 oktober moet worden geoogst.</t>
  </si>
  <si>
    <t>1-10 geoogst moet worden</t>
  </si>
  <si>
    <t>Dit is voor mijn bedrijf</t>
  </si>
  <si>
    <t xml:space="preserve">aantal </t>
  </si>
  <si>
    <t>% areaal dat vóór</t>
  </si>
  <si>
    <t>het deel dat u nu vóór 1 oktober moet oogsten</t>
  </si>
  <si>
    <t>u oogste deels al vóór 1 oktober. Stel dat u normaal 20 ha aardappelen teelt met 50 ton/ha = 1000 ton.</t>
  </si>
  <si>
    <t>prijs per</t>
  </si>
  <si>
    <t>ton</t>
  </si>
  <si>
    <t>% verlies extra over alle omzet; product moet in een warmere periode en langer worden opgeslagen</t>
  </si>
  <si>
    <t>ton minder</t>
  </si>
  <si>
    <t>door verplicht % rustgewassen</t>
  </si>
  <si>
    <t>max. 5% op perceelsniveau</t>
  </si>
  <si>
    <t>Stel: normaal oogst u 10% voor 1 oktober. Dit moet 60% worden. Hoeveel ton oogst u dan minder?</t>
  </si>
  <si>
    <r>
      <t xml:space="preserve">Het bijgevoegde rekenvoorbeeld is alleen bedoeld om u te helpen bij het maken van een inschatting van </t>
    </r>
    <r>
      <rPr>
        <b/>
        <i/>
        <sz val="16"/>
        <color theme="1"/>
        <rFont val="Calibri"/>
        <family val="2"/>
      </rPr>
      <t>het financiële effect van de
7</t>
    </r>
    <r>
      <rPr>
        <b/>
        <i/>
        <vertAlign val="superscript"/>
        <sz val="16"/>
        <color theme="1"/>
        <rFont val="Calibri"/>
        <family val="2"/>
      </rPr>
      <t>e</t>
    </r>
    <r>
      <rPr>
        <b/>
        <i/>
        <sz val="16"/>
        <color theme="1"/>
        <rFont val="Calibri"/>
        <family val="2"/>
      </rPr>
      <t xml:space="preserve"> nitraatrichtlijn op uw bedrijf </t>
    </r>
    <r>
      <rPr>
        <b/>
        <i/>
        <sz val="16"/>
        <color rgb="FF000000"/>
        <rFont val="Calibri"/>
        <family val="2"/>
      </rPr>
      <t>voor  uw reactie op de ‘Consultatie en Milieueffectrapportage voor het 7</t>
    </r>
    <r>
      <rPr>
        <b/>
        <i/>
        <vertAlign val="superscript"/>
        <sz val="16"/>
        <color rgb="FF000000"/>
        <rFont val="Calibri"/>
        <family val="2"/>
      </rPr>
      <t>e</t>
    </r>
    <r>
      <rPr>
        <b/>
        <i/>
        <sz val="16"/>
        <color rgb="FF000000"/>
        <rFont val="Calibri"/>
        <family val="2"/>
      </rPr>
      <t xml:space="preserve"> actieprogramma nitraatlijn’</t>
    </r>
    <r>
      <rPr>
        <b/>
        <i/>
        <sz val="16"/>
        <color theme="1"/>
        <rFont val="Calibri"/>
        <family val="2"/>
      </rPr>
      <t> .</t>
    </r>
    <r>
      <rPr>
        <b/>
        <i/>
        <sz val="16"/>
        <color rgb="FF000000"/>
        <rFont val="Calibri"/>
        <family val="2"/>
      </rPr>
      <t xml:space="preserve"> 
</t>
    </r>
    <r>
      <rPr>
        <b/>
        <i/>
        <sz val="16"/>
        <color theme="1"/>
        <rFont val="Calibri"/>
        <family val="2"/>
      </rPr>
      <t xml:space="preserve">U zorgt zelf voor de benodigde gegevens en </t>
    </r>
    <r>
      <rPr>
        <b/>
        <i/>
        <sz val="16"/>
        <color rgb="FF000000"/>
        <rFont val="Calibri"/>
        <family val="2"/>
      </rPr>
      <t xml:space="preserve">het opstellen van de berekening, 
</t>
    </r>
    <r>
      <rPr>
        <b/>
        <i/>
        <sz val="16"/>
        <color theme="1"/>
        <rFont val="Calibri"/>
        <family val="2"/>
      </rPr>
      <t xml:space="preserve">daarom aanvaardt Flynth geen aansprakelijkheid voor onvolledigheid of onjuistheid van uw berekening, noch voor de gevolgen daarvan.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</si>
</sst>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€&quot;\ * #,##0_ ;_ &quot;€&quot;\ * \-#,##0_ ;_ &quot;€&quot;\ * &quot;-&quot;_ ;_ @_ "/>
    <numFmt numFmtId="164" formatCode="0.0"/>
    <numFmt numFmtId="165" formatCode="_ [$€-413]\ * #,##0.00_ ;_ [$€-413]\ * \-#,##0.00_ ;_ [$€-413]\ * &quot;-&quot;??_ ;_ @_ "/>
    <numFmt numFmtId="166" formatCode="#,##0_ ;\-#,##0\ "/>
  </numFmts>
  <fonts count="16" x14ac:knownFonts="1"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6"/>
      <color rgb="FF000000"/>
      <name val="Calibri"/>
      <family val="2"/>
    </font>
    <font>
      <b/>
      <i/>
      <sz val="16"/>
      <color theme="1"/>
      <name val="Calibri"/>
      <family val="2"/>
    </font>
    <font>
      <b/>
      <i/>
      <vertAlign val="superscript"/>
      <sz val="16"/>
      <color theme="1"/>
      <name val="Calibri"/>
      <family val="2"/>
    </font>
    <font>
      <b/>
      <i/>
      <vertAlign val="superscript"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0" borderId="0" xfId="0" applyFill="1"/>
    <xf numFmtId="42" fontId="0" fillId="0" borderId="0" xfId="0" applyNumberFormat="1" applyFill="1"/>
    <xf numFmtId="10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42" fontId="0" fillId="0" borderId="0" xfId="0" applyNumberFormat="1"/>
    <xf numFmtId="0" fontId="1" fillId="0" borderId="0" xfId="0" applyFont="1"/>
    <xf numFmtId="9" fontId="0" fillId="2" borderId="0" xfId="0" applyNumberFormat="1" applyFill="1"/>
    <xf numFmtId="9" fontId="0" fillId="0" borderId="0" xfId="0" applyNumberFormat="1" applyFill="1"/>
    <xf numFmtId="0" fontId="2" fillId="0" borderId="0" xfId="0" applyFont="1"/>
    <xf numFmtId="42" fontId="2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3" borderId="4" xfId="0" applyFont="1" applyFill="1" applyBorder="1"/>
    <xf numFmtId="0" fontId="0" fillId="0" borderId="0" xfId="0" applyBorder="1"/>
    <xf numFmtId="0" fontId="0" fillId="0" borderId="5" xfId="0" applyBorder="1"/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0" fontId="0" fillId="2" borderId="0" xfId="0" applyFill="1" applyBorder="1"/>
    <xf numFmtId="0" fontId="0" fillId="0" borderId="12" xfId="0" applyFill="1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/>
    <xf numFmtId="42" fontId="0" fillId="2" borderId="0" xfId="0" applyNumberFormat="1" applyFill="1"/>
    <xf numFmtId="42" fontId="0" fillId="3" borderId="0" xfId="0" applyNumberFormat="1" applyFill="1"/>
    <xf numFmtId="42" fontId="0" fillId="3" borderId="0" xfId="0" applyNumberFormat="1" applyFill="1" applyBorder="1"/>
    <xf numFmtId="42" fontId="0" fillId="0" borderId="13" xfId="0" applyNumberFormat="1" applyBorder="1"/>
    <xf numFmtId="42" fontId="0" fillId="0" borderId="0" xfId="0" applyNumberFormat="1" applyFill="1" applyBorder="1"/>
    <xf numFmtId="42" fontId="0" fillId="0" borderId="0" xfId="0" applyNumberFormat="1" applyBorder="1"/>
    <xf numFmtId="42" fontId="0" fillId="3" borderId="13" xfId="0" applyNumberFormat="1" applyFill="1" applyBorder="1"/>
    <xf numFmtId="42" fontId="0" fillId="2" borderId="13" xfId="0" applyNumberFormat="1" applyFill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0" fontId="0" fillId="3" borderId="0" xfId="0" applyFill="1"/>
    <xf numFmtId="0" fontId="5" fillId="0" borderId="12" xfId="0" applyFont="1" applyBorder="1"/>
    <xf numFmtId="0" fontId="4" fillId="0" borderId="0" xfId="0" applyFont="1" applyBorder="1"/>
    <xf numFmtId="0" fontId="0" fillId="0" borderId="17" xfId="0" applyBorder="1"/>
    <xf numFmtId="0" fontId="0" fillId="0" borderId="18" xfId="0" applyBorder="1"/>
    <xf numFmtId="42" fontId="0" fillId="0" borderId="18" xfId="0" applyNumberFormat="1" applyBorder="1"/>
    <xf numFmtId="42" fontId="4" fillId="0" borderId="19" xfId="0" applyNumberFormat="1" applyFont="1" applyBorder="1"/>
    <xf numFmtId="0" fontId="6" fillId="0" borderId="0" xfId="0" applyFont="1"/>
    <xf numFmtId="42" fontId="0" fillId="0" borderId="15" xfId="0" applyNumberFormat="1" applyBorder="1"/>
    <xf numFmtId="42" fontId="0" fillId="0" borderId="16" xfId="0" applyNumberFormat="1" applyBorder="1"/>
    <xf numFmtId="1" fontId="0" fillId="3" borderId="0" xfId="0" applyNumberFormat="1" applyFill="1"/>
    <xf numFmtId="0" fontId="0" fillId="2" borderId="0" xfId="0" applyFont="1" applyFill="1"/>
    <xf numFmtId="0" fontId="7" fillId="0" borderId="0" xfId="0" applyFont="1"/>
    <xf numFmtId="0" fontId="8" fillId="0" borderId="0" xfId="0" applyFont="1"/>
    <xf numFmtId="0" fontId="1" fillId="3" borderId="0" xfId="0" applyFont="1" applyFill="1"/>
    <xf numFmtId="0" fontId="1" fillId="2" borderId="7" xfId="0" applyFont="1" applyFill="1" applyBorder="1"/>
    <xf numFmtId="0" fontId="9" fillId="0" borderId="0" xfId="0" applyFont="1"/>
    <xf numFmtId="0" fontId="0" fillId="0" borderId="0" xfId="0" applyAlignment="1">
      <alignment horizontal="right"/>
    </xf>
    <xf numFmtId="9" fontId="0" fillId="0" borderId="17" xfId="0" applyNumberFormat="1" applyBorder="1"/>
    <xf numFmtId="9" fontId="0" fillId="0" borderId="19" xfId="0" applyNumberFormat="1" applyBorder="1"/>
    <xf numFmtId="165" fontId="0" fillId="2" borderId="0" xfId="0" applyNumberFormat="1" applyFill="1"/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0" fillId="3" borderId="0" xfId="0" applyNumberFormat="1" applyFill="1"/>
    <xf numFmtId="0" fontId="0" fillId="0" borderId="0" xfId="0" applyFont="1"/>
    <xf numFmtId="0" fontId="10" fillId="0" borderId="0" xfId="0" applyFont="1"/>
    <xf numFmtId="0" fontId="5" fillId="0" borderId="0" xfId="0" applyFont="1"/>
    <xf numFmtId="42" fontId="5" fillId="0" borderId="0" xfId="0" applyNumberFormat="1" applyFont="1"/>
    <xf numFmtId="0" fontId="4" fillId="4" borderId="20" xfId="0" applyFont="1" applyFill="1" applyBorder="1"/>
    <xf numFmtId="0" fontId="4" fillId="4" borderId="21" xfId="0" applyFont="1" applyFill="1" applyBorder="1"/>
    <xf numFmtId="0" fontId="0" fillId="4" borderId="21" xfId="0" applyFill="1" applyBorder="1"/>
    <xf numFmtId="0" fontId="0" fillId="4" borderId="22" xfId="0" applyFill="1" applyBorder="1"/>
    <xf numFmtId="9" fontId="0" fillId="0" borderId="0" xfId="0" applyNumberFormat="1" applyBorder="1"/>
    <xf numFmtId="9" fontId="0" fillId="3" borderId="0" xfId="0" applyNumberFormat="1" applyFill="1"/>
    <xf numFmtId="2" fontId="0" fillId="3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1" fontId="0" fillId="2" borderId="0" xfId="0" applyNumberFormat="1" applyFill="1"/>
    <xf numFmtId="0" fontId="0" fillId="5" borderId="0" xfId="0" applyFill="1"/>
    <xf numFmtId="0" fontId="2" fillId="5" borderId="0" xfId="0" applyFont="1" applyFill="1"/>
    <xf numFmtId="0" fontId="0" fillId="5" borderId="0" xfId="0" applyFont="1" applyFill="1"/>
    <xf numFmtId="0" fontId="0" fillId="0" borderId="0" xfId="0" applyFont="1" applyFill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4E2384BD-03BA-4FBF-B89E-258111663EB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4076700</xdr:colOff>
      <xdr:row>0</xdr:row>
      <xdr:rowOff>142875</xdr:rowOff>
    </xdr:from>
    <xdr:to>
      <xdr:col>0</xdr:col>
      <xdr:colOff>7315200</xdr:colOff>
      <xdr:row>12</xdr:row>
      <xdr:rowOff>47625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A699501-062F-4AC3-9980-819A28E7F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42875"/>
          <a:ext cx="3238500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FB3C-2E4B-4060-B26C-36E42474B723}">
  <dimension ref="A9:A14"/>
  <sheetViews>
    <sheetView showGridLines="0" workbookViewId="0">
      <selection activeCell="A27" sqref="A27"/>
    </sheetView>
  </sheetViews>
  <sheetFormatPr defaultRowHeight="12.75" x14ac:dyDescent="0.2"/>
  <cols>
    <col min="1" max="1" width="207.7109375" customWidth="1"/>
  </cols>
  <sheetData>
    <row r="9" spans="1:1" s="61" customFormat="1" x14ac:dyDescent="0.2"/>
    <row r="10" spans="1:1" s="61" customFormat="1" x14ac:dyDescent="0.2"/>
    <row r="11" spans="1:1" s="61" customFormat="1" x14ac:dyDescent="0.2"/>
    <row r="12" spans="1:1" s="61" customFormat="1" x14ac:dyDescent="0.2"/>
    <row r="13" spans="1:1" s="61" customFormat="1" ht="118.5" customHeight="1" x14ac:dyDescent="0.2">
      <c r="A13" s="88" t="s">
        <v>164</v>
      </c>
    </row>
    <row r="14" spans="1:1" ht="15" x14ac:dyDescent="0.2">
      <c r="A14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44E2-D7DD-4916-813A-CD8A9F595B61}">
  <sheetPr>
    <pageSetUpPr fitToPage="1"/>
  </sheetPr>
  <dimension ref="A1:T124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9.140625" customWidth="1"/>
    <col min="2" max="2" width="12.140625" customWidth="1"/>
    <col min="3" max="3" width="24.42578125" customWidth="1"/>
    <col min="4" max="4" width="6" customWidth="1"/>
    <col min="5" max="5" width="2.85546875" customWidth="1"/>
    <col min="8" max="8" width="18.7109375" customWidth="1"/>
    <col min="9" max="9" width="18.28515625" customWidth="1"/>
    <col min="14" max="14" width="15" customWidth="1"/>
  </cols>
  <sheetData>
    <row r="1" spans="1:15" s="14" customFormat="1" ht="20.25" x14ac:dyDescent="0.3">
      <c r="A1" s="14" t="s">
        <v>0</v>
      </c>
    </row>
    <row r="2" spans="1:15" x14ac:dyDescent="0.2">
      <c r="A2" s="15" t="s">
        <v>52</v>
      </c>
      <c r="B2" s="16"/>
      <c r="C2" s="16"/>
      <c r="D2" s="16"/>
      <c r="E2" s="16"/>
      <c r="F2" s="16"/>
      <c r="G2" s="16"/>
      <c r="H2" s="16"/>
      <c r="I2" s="17"/>
    </row>
    <row r="3" spans="1:15" x14ac:dyDescent="0.2">
      <c r="A3" s="18"/>
      <c r="B3" s="19" t="s">
        <v>139</v>
      </c>
      <c r="C3" s="19"/>
      <c r="D3" s="19"/>
      <c r="E3" s="19"/>
      <c r="F3" s="19"/>
      <c r="G3" s="19"/>
      <c r="H3" s="19"/>
      <c r="I3" s="20"/>
    </row>
    <row r="4" spans="1:15" x14ac:dyDescent="0.2">
      <c r="A4" s="21"/>
      <c r="B4" s="22" t="s">
        <v>53</v>
      </c>
      <c r="C4" s="22"/>
      <c r="D4" s="22"/>
      <c r="E4" s="22"/>
      <c r="F4" s="22"/>
      <c r="G4" s="22"/>
      <c r="H4" s="22"/>
      <c r="I4" s="23"/>
    </row>
    <row r="5" spans="1:15" x14ac:dyDescent="0.2">
      <c r="A5" s="9"/>
    </row>
    <row r="6" spans="1:15" ht="13.5" thickBot="1" x14ac:dyDescent="0.25"/>
    <row r="7" spans="1:15" x14ac:dyDescent="0.2">
      <c r="A7" s="24" t="s">
        <v>140</v>
      </c>
      <c r="B7" s="25"/>
      <c r="C7" s="25"/>
      <c r="D7" s="25"/>
      <c r="E7" s="25"/>
      <c r="F7" s="25"/>
      <c r="G7" s="25"/>
      <c r="H7" s="26"/>
    </row>
    <row r="8" spans="1:15" x14ac:dyDescent="0.2">
      <c r="A8" s="27"/>
      <c r="B8" s="19"/>
      <c r="C8" s="19"/>
      <c r="D8" s="19"/>
      <c r="E8" s="19"/>
      <c r="F8" s="19" t="s">
        <v>141</v>
      </c>
      <c r="G8" s="19"/>
      <c r="H8" s="28"/>
    </row>
    <row r="9" spans="1:15" x14ac:dyDescent="0.2">
      <c r="A9" s="27"/>
      <c r="B9" s="19" t="s">
        <v>35</v>
      </c>
      <c r="C9" s="19"/>
      <c r="D9" s="19"/>
      <c r="E9" s="19"/>
      <c r="F9" s="19" t="s">
        <v>7</v>
      </c>
      <c r="G9" s="19"/>
      <c r="H9" s="28"/>
    </row>
    <row r="10" spans="1:15" x14ac:dyDescent="0.2">
      <c r="A10" s="29">
        <v>20</v>
      </c>
      <c r="B10" s="19" t="s">
        <v>1</v>
      </c>
      <c r="C10" s="30" t="s">
        <v>30</v>
      </c>
      <c r="D10" s="19"/>
      <c r="E10" s="19"/>
      <c r="F10" s="37">
        <v>5000</v>
      </c>
      <c r="G10" s="37"/>
      <c r="H10" s="38">
        <f>A10*F10</f>
        <v>100000</v>
      </c>
      <c r="N10" s="7"/>
    </row>
    <row r="11" spans="1:15" x14ac:dyDescent="0.2">
      <c r="A11" s="29">
        <v>10</v>
      </c>
      <c r="B11" s="19" t="s">
        <v>1</v>
      </c>
      <c r="C11" s="30" t="s">
        <v>6</v>
      </c>
      <c r="D11" s="19"/>
      <c r="E11" s="19"/>
      <c r="F11" s="37">
        <v>1500</v>
      </c>
      <c r="G11" s="37"/>
      <c r="H11" s="38">
        <f>A11*F11</f>
        <v>15000</v>
      </c>
      <c r="N11" s="7"/>
    </row>
    <row r="12" spans="1:15" x14ac:dyDescent="0.2">
      <c r="A12" s="29">
        <v>20</v>
      </c>
      <c r="B12" s="19" t="s">
        <v>1</v>
      </c>
      <c r="C12" s="30" t="s">
        <v>2</v>
      </c>
      <c r="D12" s="19"/>
      <c r="E12" s="19"/>
      <c r="F12" s="37">
        <v>2500</v>
      </c>
      <c r="G12" s="37"/>
      <c r="H12" s="38">
        <f>A12*F12</f>
        <v>50000</v>
      </c>
      <c r="N12" s="7"/>
    </row>
    <row r="13" spans="1:15" x14ac:dyDescent="0.2">
      <c r="A13" s="29">
        <v>10</v>
      </c>
      <c r="B13" s="19" t="s">
        <v>1</v>
      </c>
      <c r="C13" s="30" t="s">
        <v>3</v>
      </c>
      <c r="D13" s="19"/>
      <c r="E13" s="19"/>
      <c r="F13" s="37">
        <v>5000</v>
      </c>
      <c r="G13" s="37"/>
      <c r="H13" s="38">
        <f>A13*F13</f>
        <v>50000</v>
      </c>
      <c r="N13" s="7"/>
    </row>
    <row r="14" spans="1:15" x14ac:dyDescent="0.2">
      <c r="A14" s="29">
        <v>10</v>
      </c>
      <c r="B14" s="19" t="s">
        <v>1</v>
      </c>
      <c r="C14" s="30" t="s">
        <v>5</v>
      </c>
      <c r="D14" s="19"/>
      <c r="E14" s="19"/>
      <c r="F14" s="37">
        <v>6500</v>
      </c>
      <c r="G14" s="37"/>
      <c r="H14" s="38">
        <f>A14*F14</f>
        <v>65000</v>
      </c>
      <c r="N14" s="7"/>
    </row>
    <row r="15" spans="1:15" x14ac:dyDescent="0.2">
      <c r="A15" s="31"/>
      <c r="B15" s="19" t="s">
        <v>34</v>
      </c>
      <c r="C15" s="19"/>
      <c r="D15" s="19"/>
      <c r="E15" s="19"/>
      <c r="F15" s="39"/>
      <c r="G15" s="39"/>
      <c r="H15" s="38"/>
      <c r="N15" s="7"/>
    </row>
    <row r="16" spans="1:15" x14ac:dyDescent="0.2">
      <c r="A16" s="29">
        <v>10</v>
      </c>
      <c r="B16" s="19" t="s">
        <v>1</v>
      </c>
      <c r="C16" s="19" t="s">
        <v>29</v>
      </c>
      <c r="D16" s="19"/>
      <c r="E16" s="19"/>
      <c r="F16" s="37">
        <v>1500</v>
      </c>
      <c r="G16" s="37"/>
      <c r="H16" s="38">
        <f>A16*F16</f>
        <v>15000</v>
      </c>
      <c r="N16" s="7"/>
      <c r="O16" s="7"/>
    </row>
    <row r="17" spans="1:20" x14ac:dyDescent="0.2">
      <c r="A17" s="29">
        <v>0</v>
      </c>
      <c r="B17" s="19" t="s">
        <v>1</v>
      </c>
      <c r="C17" s="19" t="s">
        <v>28</v>
      </c>
      <c r="D17" s="19"/>
      <c r="E17" s="19"/>
      <c r="F17" s="37">
        <v>1500</v>
      </c>
      <c r="G17" s="37"/>
      <c r="H17" s="38">
        <f>A17*F17</f>
        <v>0</v>
      </c>
      <c r="N17" s="7"/>
      <c r="O17" s="6"/>
    </row>
    <row r="18" spans="1:20" x14ac:dyDescent="0.2">
      <c r="A18" s="27"/>
      <c r="B18" s="19"/>
      <c r="C18" s="19"/>
      <c r="D18" s="19"/>
      <c r="E18" s="19"/>
      <c r="F18" s="40"/>
      <c r="G18" s="40"/>
      <c r="H18" s="38"/>
      <c r="N18" s="7"/>
    </row>
    <row r="19" spans="1:20" x14ac:dyDescent="0.2">
      <c r="A19" s="27">
        <f>SUM(A10:A17)</f>
        <v>80</v>
      </c>
      <c r="B19" s="19" t="s">
        <v>4</v>
      </c>
      <c r="C19" s="19" t="s">
        <v>24</v>
      </c>
      <c r="D19" s="19"/>
      <c r="E19" s="19"/>
      <c r="F19" s="40"/>
      <c r="G19" s="40"/>
      <c r="H19" s="38">
        <f>SUM(H10:H17)</f>
        <v>295000</v>
      </c>
      <c r="N19" s="7"/>
    </row>
    <row r="20" spans="1:20" x14ac:dyDescent="0.2">
      <c r="A20" s="27"/>
      <c r="B20" s="19"/>
      <c r="C20" s="19"/>
      <c r="D20" s="19"/>
      <c r="E20" s="19"/>
      <c r="F20" s="40"/>
      <c r="G20" s="40"/>
      <c r="H20" s="38"/>
    </row>
    <row r="21" spans="1:20" x14ac:dyDescent="0.2">
      <c r="A21" s="27"/>
      <c r="B21" s="19"/>
      <c r="C21" s="19" t="s">
        <v>22</v>
      </c>
      <c r="D21" s="19"/>
      <c r="E21" s="19"/>
      <c r="F21" s="40"/>
      <c r="G21" s="40"/>
      <c r="H21" s="41">
        <f>A19*350</f>
        <v>28000</v>
      </c>
    </row>
    <row r="22" spans="1:20" x14ac:dyDescent="0.2">
      <c r="A22" s="27"/>
      <c r="B22" s="19"/>
      <c r="C22" s="19" t="s">
        <v>23</v>
      </c>
      <c r="D22" s="19"/>
      <c r="E22" s="19"/>
      <c r="F22" s="40"/>
      <c r="G22" s="40"/>
      <c r="H22" s="41">
        <f>A19*3*50</f>
        <v>12000</v>
      </c>
    </row>
    <row r="23" spans="1:20" x14ac:dyDescent="0.2">
      <c r="A23" s="27"/>
      <c r="B23" s="19"/>
      <c r="C23" s="19"/>
      <c r="D23" s="19"/>
      <c r="E23" s="19"/>
      <c r="F23" s="40"/>
      <c r="G23" s="40"/>
      <c r="H23" s="38"/>
    </row>
    <row r="24" spans="1:20" x14ac:dyDescent="0.2">
      <c r="A24" s="27"/>
      <c r="B24" s="19"/>
      <c r="C24" s="19" t="s">
        <v>25</v>
      </c>
      <c r="D24" s="19"/>
      <c r="E24" s="19"/>
      <c r="F24" s="40"/>
      <c r="G24" s="40"/>
      <c r="H24" s="38">
        <f>H19+H21+H22</f>
        <v>335000</v>
      </c>
    </row>
    <row r="25" spans="1:20" ht="13.5" thickBot="1" x14ac:dyDescent="0.25">
      <c r="A25" s="32"/>
      <c r="B25" s="33"/>
      <c r="C25" s="33"/>
      <c r="D25" s="33"/>
      <c r="E25" s="33"/>
      <c r="F25" s="53"/>
      <c r="G25" s="53"/>
      <c r="H25" s="54"/>
    </row>
    <row r="27" spans="1:20" s="12" customFormat="1" x14ac:dyDescent="0.2">
      <c r="A27" s="12" t="s">
        <v>54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9" spans="1:20" s="57" customFormat="1" x14ac:dyDescent="0.2">
      <c r="A29" s="57" t="s">
        <v>10</v>
      </c>
      <c r="B29" s="57" t="s">
        <v>13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2">
      <c r="H30" t="s">
        <v>73</v>
      </c>
      <c r="I30" t="s">
        <v>74</v>
      </c>
    </row>
    <row r="31" spans="1:20" x14ac:dyDescent="0.2">
      <c r="B31" t="s">
        <v>78</v>
      </c>
      <c r="F31" s="1">
        <v>5000</v>
      </c>
      <c r="G31" s="1"/>
      <c r="H31" s="45">
        <v>1</v>
      </c>
      <c r="I31" s="2">
        <f>2-H31</f>
        <v>1</v>
      </c>
      <c r="J31" t="s">
        <v>75</v>
      </c>
    </row>
    <row r="32" spans="1:20" x14ac:dyDescent="0.2">
      <c r="B32" t="s">
        <v>78</v>
      </c>
      <c r="F32" s="1">
        <v>500</v>
      </c>
      <c r="G32" s="1"/>
      <c r="H32" s="45">
        <v>1</v>
      </c>
      <c r="I32" s="2">
        <f>5-H32</f>
        <v>4</v>
      </c>
      <c r="J32" t="s">
        <v>76</v>
      </c>
    </row>
    <row r="33" spans="1:20" x14ac:dyDescent="0.2">
      <c r="H33" s="2"/>
    </row>
    <row r="34" spans="1:20" x14ac:dyDescent="0.2">
      <c r="C34" t="s">
        <v>20</v>
      </c>
      <c r="H34" s="2">
        <f>(F31*I31+F32*I32)/10000</f>
        <v>0.7</v>
      </c>
      <c r="I34" t="s">
        <v>4</v>
      </c>
    </row>
    <row r="35" spans="1:20" x14ac:dyDescent="0.2">
      <c r="C35" t="s">
        <v>21</v>
      </c>
      <c r="H35" s="3">
        <f>H34*(H24/A19)</f>
        <v>2931.25</v>
      </c>
      <c r="I35" t="s">
        <v>26</v>
      </c>
    </row>
    <row r="36" spans="1:20" s="57" customFormat="1" x14ac:dyDescent="0.2">
      <c r="A36"/>
      <c r="B36"/>
      <c r="C36"/>
      <c r="D36"/>
      <c r="E36"/>
      <c r="F36"/>
      <c r="G36"/>
      <c r="H36" s="2"/>
      <c r="I36"/>
      <c r="J36"/>
      <c r="K36"/>
      <c r="L36"/>
      <c r="M36"/>
      <c r="N36"/>
      <c r="O36"/>
      <c r="P36"/>
      <c r="Q36"/>
      <c r="R36"/>
      <c r="S36"/>
      <c r="T36"/>
    </row>
    <row r="37" spans="1:20" x14ac:dyDescent="0.2">
      <c r="H37" s="2"/>
    </row>
    <row r="38" spans="1:20" x14ac:dyDescent="0.2">
      <c r="A38" s="57" t="s">
        <v>12</v>
      </c>
      <c r="B38" s="57" t="s">
        <v>11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</row>
    <row r="40" spans="1:20" x14ac:dyDescent="0.2">
      <c r="C40" t="s">
        <v>27</v>
      </c>
      <c r="H40" s="4">
        <f>($A16+$A17)/$A19</f>
        <v>0.125</v>
      </c>
      <c r="I40" s="4"/>
    </row>
    <row r="41" spans="1:20" x14ac:dyDescent="0.2">
      <c r="C41" t="s">
        <v>31</v>
      </c>
      <c r="H41" s="5">
        <v>0.25</v>
      </c>
      <c r="I41" s="4"/>
      <c r="J41" t="s">
        <v>136</v>
      </c>
    </row>
    <row r="42" spans="1:20" x14ac:dyDescent="0.2">
      <c r="C42" t="s">
        <v>32</v>
      </c>
      <c r="H42" s="6">
        <f>(H41-H40)*($A19-$H34)</f>
        <v>9.9124999999999996</v>
      </c>
      <c r="I42" s="6" t="s">
        <v>33</v>
      </c>
    </row>
    <row r="43" spans="1:20" x14ac:dyDescent="0.2">
      <c r="C43" t="s">
        <v>36</v>
      </c>
      <c r="H43" s="36">
        <f>$F16</f>
        <v>1500</v>
      </c>
      <c r="I43" s="3"/>
    </row>
    <row r="44" spans="1:20" x14ac:dyDescent="0.2">
      <c r="C44" t="s">
        <v>65</v>
      </c>
      <c r="H44" s="36">
        <f>$F10</f>
        <v>5000</v>
      </c>
      <c r="I44" s="3"/>
    </row>
    <row r="46" spans="1:20" x14ac:dyDescent="0.2">
      <c r="C46" t="s">
        <v>37</v>
      </c>
      <c r="H46" s="8">
        <f>H42*(H44-H43)</f>
        <v>34693.75</v>
      </c>
      <c r="I46" s="8"/>
    </row>
    <row r="48" spans="1:20" s="57" customFormat="1" x14ac:dyDescent="0.2">
      <c r="A48" s="57" t="s">
        <v>14</v>
      </c>
      <c r="B48" s="57" t="s">
        <v>19</v>
      </c>
    </row>
    <row r="50" spans="1:20" x14ac:dyDescent="0.2">
      <c r="B50" t="s">
        <v>46</v>
      </c>
      <c r="H50" s="35">
        <v>0</v>
      </c>
      <c r="J50" t="s">
        <v>142</v>
      </c>
    </row>
    <row r="51" spans="1:20" x14ac:dyDescent="0.2">
      <c r="B51" t="s">
        <v>47</v>
      </c>
      <c r="H51" s="35">
        <v>0</v>
      </c>
    </row>
    <row r="52" spans="1:20" x14ac:dyDescent="0.2">
      <c r="B52" t="s">
        <v>48</v>
      </c>
      <c r="H52" s="35">
        <v>0</v>
      </c>
    </row>
    <row r="53" spans="1:20" x14ac:dyDescent="0.2">
      <c r="B53" s="1" t="s">
        <v>50</v>
      </c>
      <c r="C53" s="1"/>
      <c r="H53" s="35">
        <v>0</v>
      </c>
    </row>
    <row r="55" spans="1:20" s="12" customFormat="1" x14ac:dyDescent="0.2">
      <c r="A55"/>
      <c r="B55"/>
      <c r="C55" t="s">
        <v>49</v>
      </c>
      <c r="D55"/>
      <c r="E55"/>
      <c r="F55"/>
      <c r="G55"/>
      <c r="H55" s="8">
        <f>SUM(H50:H53)</f>
        <v>0</v>
      </c>
      <c r="I55"/>
      <c r="J55"/>
      <c r="K55"/>
      <c r="L55"/>
      <c r="M55"/>
      <c r="N55"/>
      <c r="O55"/>
      <c r="P55"/>
      <c r="Q55"/>
      <c r="R55"/>
      <c r="S55"/>
      <c r="T55"/>
    </row>
    <row r="56" spans="1:20" s="12" customFormat="1" x14ac:dyDescent="0.2">
      <c r="A56"/>
      <c r="B56"/>
      <c r="C56"/>
      <c r="D56"/>
      <c r="E56"/>
      <c r="F56"/>
      <c r="G56"/>
      <c r="H56" s="8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2">
      <c r="A57" s="12" t="s">
        <v>72</v>
      </c>
      <c r="B57" s="12"/>
      <c r="C57" s="12"/>
      <c r="D57" s="12"/>
      <c r="E57" s="12"/>
      <c r="F57" s="12"/>
      <c r="G57" s="12"/>
      <c r="H57" s="13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">
      <c r="A58" s="12" t="s">
        <v>125</v>
      </c>
      <c r="B58" s="12"/>
      <c r="C58" s="12"/>
      <c r="D58" s="12"/>
      <c r="E58" s="12"/>
      <c r="F58" s="56" t="s">
        <v>77</v>
      </c>
      <c r="G58" s="86"/>
      <c r="H58" s="13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">
      <c r="H59" s="8"/>
    </row>
    <row r="60" spans="1:20" s="57" customFormat="1" x14ac:dyDescent="0.2">
      <c r="A60" s="57" t="s">
        <v>16</v>
      </c>
      <c r="B60" s="57" t="s">
        <v>15</v>
      </c>
    </row>
    <row r="62" spans="1:20" x14ac:dyDescent="0.2">
      <c r="B62" t="s">
        <v>39</v>
      </c>
      <c r="H62" s="55">
        <f>0.05/0.3*A19</f>
        <v>13.333333333333336</v>
      </c>
      <c r="J62" t="s">
        <v>82</v>
      </c>
    </row>
    <row r="63" spans="1:20" x14ac:dyDescent="0.2">
      <c r="B63" t="s">
        <v>40</v>
      </c>
      <c r="H63" s="6">
        <f>(A19-H34)*0.6</f>
        <v>47.58</v>
      </c>
    </row>
    <row r="64" spans="1:20" x14ac:dyDescent="0.2">
      <c r="B64" t="s">
        <v>38</v>
      </c>
      <c r="H64" s="55">
        <f>IF($F$58="nee",H63-H62,0)</f>
        <v>34.246666666666663</v>
      </c>
    </row>
    <row r="66" spans="1:10" x14ac:dyDescent="0.2">
      <c r="B66" t="s">
        <v>41</v>
      </c>
      <c r="H66" s="36">
        <v>140</v>
      </c>
      <c r="J66" t="s">
        <v>143</v>
      </c>
    </row>
    <row r="67" spans="1:10" x14ac:dyDescent="0.2">
      <c r="B67" t="s">
        <v>42</v>
      </c>
      <c r="H67" s="36">
        <v>80</v>
      </c>
      <c r="J67" t="s">
        <v>66</v>
      </c>
    </row>
    <row r="69" spans="1:10" x14ac:dyDescent="0.2">
      <c r="B69" t="s">
        <v>43</v>
      </c>
      <c r="H69" s="8">
        <f>H64*(H66+H67)</f>
        <v>7534.2666666666655</v>
      </c>
    </row>
    <row r="71" spans="1:10" s="57" customFormat="1" x14ac:dyDescent="0.2">
      <c r="A71" s="57" t="s">
        <v>18</v>
      </c>
      <c r="B71" s="57" t="s">
        <v>17</v>
      </c>
      <c r="J71" s="69" t="s">
        <v>137</v>
      </c>
    </row>
    <row r="72" spans="1:10" s="57" customFormat="1" x14ac:dyDescent="0.2">
      <c r="J72" s="69"/>
    </row>
    <row r="73" spans="1:10" s="69" customFormat="1" x14ac:dyDescent="0.2">
      <c r="A73" s="69" t="s">
        <v>149</v>
      </c>
    </row>
    <row r="74" spans="1:10" s="69" customFormat="1" x14ac:dyDescent="0.2">
      <c r="A74" s="69" t="s">
        <v>150</v>
      </c>
    </row>
    <row r="75" spans="1:10" s="69" customFormat="1" x14ac:dyDescent="0.2">
      <c r="A75" s="69" t="s">
        <v>152</v>
      </c>
      <c r="C75" s="84">
        <f>0.35*A19</f>
        <v>28</v>
      </c>
      <c r="D75" s="85" t="s">
        <v>4</v>
      </c>
    </row>
    <row r="76" spans="1:10" s="57" customFormat="1" x14ac:dyDescent="0.2">
      <c r="J76" s="69"/>
    </row>
    <row r="77" spans="1:10" s="57" customFormat="1" x14ac:dyDescent="0.2">
      <c r="C77" s="70" t="s">
        <v>154</v>
      </c>
      <c r="D77" s="70" t="s">
        <v>153</v>
      </c>
      <c r="E77" s="70"/>
      <c r="F77" s="70" t="s">
        <v>26</v>
      </c>
      <c r="G77" s="70" t="s">
        <v>157</v>
      </c>
      <c r="J77" s="69"/>
    </row>
    <row r="78" spans="1:10" x14ac:dyDescent="0.2">
      <c r="C78" s="70" t="s">
        <v>151</v>
      </c>
      <c r="D78" s="69" t="s">
        <v>4</v>
      </c>
      <c r="E78" s="69"/>
      <c r="F78" s="70" t="s">
        <v>160</v>
      </c>
      <c r="G78" s="70" t="s">
        <v>158</v>
      </c>
    </row>
    <row r="79" spans="1:10" x14ac:dyDescent="0.2">
      <c r="A79" t="s">
        <v>146</v>
      </c>
      <c r="B79" t="str">
        <f>C10</f>
        <v>aardappelen</v>
      </c>
      <c r="C79" s="10">
        <v>0.5</v>
      </c>
      <c r="D79">
        <f>C79*A10</f>
        <v>10</v>
      </c>
      <c r="E79" t="s">
        <v>4</v>
      </c>
      <c r="F79" s="82">
        <v>100</v>
      </c>
      <c r="G79" s="55">
        <v>150</v>
      </c>
      <c r="H79" s="8">
        <f>IF($F$58="nee",F79*G79,0)</f>
        <v>15000</v>
      </c>
      <c r="J79" t="s">
        <v>147</v>
      </c>
    </row>
    <row r="80" spans="1:10" x14ac:dyDescent="0.2">
      <c r="B80" t="str">
        <f>C11</f>
        <v>mais</v>
      </c>
      <c r="C80" s="10">
        <v>0</v>
      </c>
      <c r="D80">
        <f t="shared" ref="D80:D83" si="0">C80*A11</f>
        <v>0</v>
      </c>
      <c r="E80" t="s">
        <v>4</v>
      </c>
      <c r="F80" s="82">
        <v>0</v>
      </c>
      <c r="G80" s="55">
        <v>40</v>
      </c>
      <c r="H80" s="8">
        <f t="shared" ref="H80:H83" si="1">IF($F$58="nee",F80*G80,0)</f>
        <v>0</v>
      </c>
      <c r="J80" t="s">
        <v>155</v>
      </c>
    </row>
    <row r="81" spans="1:10" x14ac:dyDescent="0.2">
      <c r="B81" t="str">
        <f>C12</f>
        <v>suikerbieten</v>
      </c>
      <c r="C81" s="10">
        <v>0.4</v>
      </c>
      <c r="D81">
        <f t="shared" si="0"/>
        <v>8</v>
      </c>
      <c r="E81" t="s">
        <v>4</v>
      </c>
      <c r="F81" s="82">
        <v>120</v>
      </c>
      <c r="G81" s="55">
        <v>50</v>
      </c>
      <c r="H81" s="8">
        <f t="shared" si="1"/>
        <v>6000</v>
      </c>
    </row>
    <row r="82" spans="1:10" x14ac:dyDescent="0.2">
      <c r="B82" t="str">
        <f>C13</f>
        <v>uien</v>
      </c>
      <c r="C82" s="10">
        <v>1</v>
      </c>
      <c r="D82">
        <f t="shared" si="0"/>
        <v>10</v>
      </c>
      <c r="E82" t="s">
        <v>4</v>
      </c>
      <c r="F82" s="82">
        <v>0</v>
      </c>
      <c r="G82" s="55">
        <v>150</v>
      </c>
      <c r="H82" s="8">
        <f t="shared" si="1"/>
        <v>0</v>
      </c>
      <c r="J82" t="s">
        <v>148</v>
      </c>
    </row>
    <row r="83" spans="1:10" x14ac:dyDescent="0.2">
      <c r="B83" t="str">
        <f>C14</f>
        <v>winterpeen</v>
      </c>
      <c r="C83" s="10">
        <v>0</v>
      </c>
      <c r="D83">
        <f t="shared" si="0"/>
        <v>0</v>
      </c>
      <c r="E83" t="s">
        <v>4</v>
      </c>
      <c r="F83" s="82">
        <v>0</v>
      </c>
      <c r="G83" s="55">
        <v>0</v>
      </c>
      <c r="H83" s="8">
        <f t="shared" si="1"/>
        <v>0</v>
      </c>
      <c r="J83" t="s">
        <v>156</v>
      </c>
    </row>
    <row r="84" spans="1:10" x14ac:dyDescent="0.2">
      <c r="D84" s="83">
        <f>SUM(D79:D83)</f>
        <v>28</v>
      </c>
      <c r="E84" s="83" t="s">
        <v>4</v>
      </c>
      <c r="F84" s="11"/>
      <c r="G84" s="11"/>
      <c r="H84" s="8"/>
      <c r="J84" t="s">
        <v>163</v>
      </c>
    </row>
    <row r="86" spans="1:10" x14ac:dyDescent="0.2">
      <c r="C86" t="s">
        <v>55</v>
      </c>
      <c r="H86" s="35">
        <v>0</v>
      </c>
      <c r="J86" t="s">
        <v>56</v>
      </c>
    </row>
    <row r="87" spans="1:10" x14ac:dyDescent="0.2">
      <c r="C87" t="s">
        <v>57</v>
      </c>
      <c r="H87" s="35">
        <v>0</v>
      </c>
      <c r="J87" t="s">
        <v>61</v>
      </c>
    </row>
    <row r="88" spans="1:10" x14ac:dyDescent="0.2">
      <c r="C88" t="s">
        <v>58</v>
      </c>
      <c r="F88" s="10">
        <v>0.03</v>
      </c>
      <c r="G88" s="10"/>
      <c r="H88" s="36">
        <f>IF($F$58="nee",F88*(H10/0.6),0)</f>
        <v>5000</v>
      </c>
      <c r="J88" t="s">
        <v>159</v>
      </c>
    </row>
    <row r="89" spans="1:10" x14ac:dyDescent="0.2">
      <c r="C89" t="s">
        <v>59</v>
      </c>
      <c r="F89" s="10">
        <v>0.03</v>
      </c>
      <c r="G89" s="10"/>
      <c r="H89" s="36">
        <f>IF($F$58="nee",F89*(H12/0.6),0)</f>
        <v>2500</v>
      </c>
      <c r="J89" t="s">
        <v>159</v>
      </c>
    </row>
    <row r="90" spans="1:10" x14ac:dyDescent="0.2">
      <c r="C90" t="s">
        <v>60</v>
      </c>
      <c r="H90" s="35">
        <v>0</v>
      </c>
    </row>
    <row r="91" spans="1:10" x14ac:dyDescent="0.2">
      <c r="H91" s="3"/>
    </row>
    <row r="92" spans="1:10" x14ac:dyDescent="0.2">
      <c r="C92" t="s">
        <v>45</v>
      </c>
      <c r="F92" s="11"/>
      <c r="G92" s="11"/>
      <c r="H92" s="8">
        <f>SUM(H79:H90)</f>
        <v>28500</v>
      </c>
    </row>
    <row r="93" spans="1:10" x14ac:dyDescent="0.2">
      <c r="F93" s="11"/>
      <c r="G93" s="11"/>
      <c r="H93" s="8"/>
    </row>
    <row r="94" spans="1:10" x14ac:dyDescent="0.2">
      <c r="F94" s="11"/>
      <c r="G94" s="11"/>
      <c r="H94" s="8"/>
    </row>
    <row r="95" spans="1:10" s="57" customFormat="1" x14ac:dyDescent="0.2">
      <c r="A95" s="57" t="s">
        <v>62</v>
      </c>
      <c r="B95" s="57" t="s">
        <v>63</v>
      </c>
    </row>
    <row r="96" spans="1:10" x14ac:dyDescent="0.2">
      <c r="H96" s="8"/>
    </row>
    <row r="97" spans="1:10" x14ac:dyDescent="0.2">
      <c r="H97" s="36">
        <f>IF($F$58="nee",I97*SUM(H10:H14),0)</f>
        <v>14000</v>
      </c>
      <c r="I97" s="10">
        <v>0.05</v>
      </c>
      <c r="J97" t="s">
        <v>64</v>
      </c>
    </row>
    <row r="99" spans="1:10" x14ac:dyDescent="0.2">
      <c r="A99" t="s">
        <v>119</v>
      </c>
      <c r="C99" t="s">
        <v>120</v>
      </c>
      <c r="H99" s="8">
        <f>H35</f>
        <v>2931.25</v>
      </c>
    </row>
    <row r="100" spans="1:10" x14ac:dyDescent="0.2">
      <c r="C100" t="s">
        <v>11</v>
      </c>
      <c r="H100" s="8">
        <f>H46</f>
        <v>34693.75</v>
      </c>
    </row>
    <row r="101" spans="1:10" x14ac:dyDescent="0.2">
      <c r="C101" t="s">
        <v>121</v>
      </c>
      <c r="H101" s="8">
        <f>H55</f>
        <v>0</v>
      </c>
    </row>
    <row r="102" spans="1:10" x14ac:dyDescent="0.2">
      <c r="C102" t="s">
        <v>15</v>
      </c>
      <c r="H102" s="8">
        <f>H69</f>
        <v>7534.2666666666655</v>
      </c>
    </row>
    <row r="103" spans="1:10" x14ac:dyDescent="0.2">
      <c r="C103" t="s">
        <v>122</v>
      </c>
      <c r="H103" s="8">
        <f>H92</f>
        <v>28500</v>
      </c>
    </row>
    <row r="104" spans="1:10" x14ac:dyDescent="0.2">
      <c r="C104" t="s">
        <v>123</v>
      </c>
      <c r="H104" s="8">
        <f>-H97</f>
        <v>-14000</v>
      </c>
    </row>
    <row r="107" spans="1:10" ht="15.75" x14ac:dyDescent="0.25">
      <c r="A107" s="52"/>
      <c r="B107" s="52"/>
      <c r="C107" s="71" t="s">
        <v>51</v>
      </c>
      <c r="D107" s="71"/>
      <c r="E107" s="71"/>
      <c r="F107" s="71"/>
      <c r="G107" s="71"/>
      <c r="H107" s="72">
        <f>SUM(H99:H104)</f>
        <v>59659.266666666663</v>
      </c>
    </row>
    <row r="108" spans="1:10" ht="15.75" x14ac:dyDescent="0.25">
      <c r="A108" s="52"/>
      <c r="B108" s="52"/>
      <c r="C108" s="71"/>
      <c r="D108" s="71"/>
      <c r="E108" s="71"/>
      <c r="F108" s="71"/>
      <c r="G108" s="71"/>
      <c r="H108" s="72"/>
    </row>
    <row r="109" spans="1:10" ht="15.75" x14ac:dyDescent="0.25">
      <c r="A109" s="52"/>
      <c r="B109" s="52"/>
      <c r="C109" s="71"/>
      <c r="D109" s="71"/>
      <c r="E109" s="71"/>
      <c r="F109" s="71"/>
      <c r="G109" s="71"/>
      <c r="H109" s="72"/>
    </row>
    <row r="110" spans="1:10" ht="13.5" thickBot="1" x14ac:dyDescent="0.25"/>
    <row r="111" spans="1:10" ht="16.5" thickBot="1" x14ac:dyDescent="0.3">
      <c r="A111" s="73" t="s">
        <v>67</v>
      </c>
      <c r="B111" s="74"/>
      <c r="C111" s="74"/>
      <c r="D111" s="74"/>
      <c r="E111" s="74"/>
      <c r="F111" s="75"/>
      <c r="G111" s="75"/>
      <c r="H111" s="76"/>
      <c r="I111" s="48"/>
      <c r="J111" t="s">
        <v>124</v>
      </c>
    </row>
    <row r="112" spans="1:10" ht="15.75" x14ac:dyDescent="0.25">
      <c r="A112" s="46"/>
      <c r="B112" s="47"/>
      <c r="C112" s="47"/>
      <c r="D112" s="47"/>
      <c r="E112" s="47"/>
      <c r="F112" s="19"/>
      <c r="G112" s="19"/>
      <c r="H112" s="28"/>
      <c r="I112" s="49"/>
    </row>
    <row r="113" spans="1:9" ht="15.75" x14ac:dyDescent="0.25">
      <c r="A113" s="46"/>
      <c r="B113" s="47"/>
      <c r="C113" s="47"/>
      <c r="D113" s="47"/>
      <c r="E113" s="47"/>
      <c r="F113" s="19"/>
      <c r="G113" s="19"/>
      <c r="H113" s="28"/>
      <c r="I113" s="49"/>
    </row>
    <row r="114" spans="1:9" ht="15.75" x14ac:dyDescent="0.25">
      <c r="A114" s="46"/>
      <c r="B114" s="47"/>
      <c r="C114" s="47"/>
      <c r="D114" s="47"/>
      <c r="E114" s="47"/>
      <c r="F114" s="19"/>
      <c r="G114" s="19"/>
      <c r="H114" s="28" t="s">
        <v>70</v>
      </c>
      <c r="I114" s="49" t="s">
        <v>71</v>
      </c>
    </row>
    <row r="115" spans="1:9" x14ac:dyDescent="0.2">
      <c r="A115" s="27"/>
      <c r="B115" s="19"/>
      <c r="C115" s="19"/>
      <c r="D115" s="19"/>
      <c r="E115" s="19"/>
      <c r="F115" s="19"/>
      <c r="G115" s="19"/>
      <c r="H115" s="28"/>
      <c r="I115" s="49"/>
    </row>
    <row r="116" spans="1:9" x14ac:dyDescent="0.2">
      <c r="A116" s="27"/>
      <c r="B116" s="19"/>
      <c r="C116" s="19" t="s">
        <v>68</v>
      </c>
      <c r="D116" s="19"/>
      <c r="E116" s="19"/>
      <c r="F116" s="19"/>
      <c r="G116" s="19"/>
      <c r="H116" s="38">
        <f>H24</f>
        <v>335000</v>
      </c>
      <c r="I116" s="50">
        <f>H116-H107</f>
        <v>275340.73333333334</v>
      </c>
    </row>
    <row r="117" spans="1:9" x14ac:dyDescent="0.2">
      <c r="A117" s="27"/>
      <c r="B117" s="19"/>
      <c r="C117" s="19"/>
      <c r="D117" s="19"/>
      <c r="E117" s="19"/>
      <c r="F117" s="19"/>
      <c r="G117" s="19"/>
      <c r="H117" s="28"/>
      <c r="I117" s="49"/>
    </row>
    <row r="118" spans="1:9" x14ac:dyDescent="0.2">
      <c r="A118" s="27" t="s">
        <v>69</v>
      </c>
      <c r="B118" s="19"/>
      <c r="C118" s="19" t="s">
        <v>9</v>
      </c>
      <c r="D118" s="19"/>
      <c r="E118" s="19"/>
      <c r="F118" s="40"/>
      <c r="G118" s="40"/>
      <c r="H118" s="42">
        <v>0</v>
      </c>
      <c r="I118" s="50">
        <f>H118</f>
        <v>0</v>
      </c>
    </row>
    <row r="119" spans="1:9" x14ac:dyDescent="0.2">
      <c r="A119" s="27"/>
      <c r="B119" s="19"/>
      <c r="C119" s="19" t="s">
        <v>81</v>
      </c>
      <c r="D119" s="19"/>
      <c r="E119" s="19"/>
      <c r="F119" s="40"/>
      <c r="G119" s="40"/>
      <c r="H119" s="42">
        <v>0</v>
      </c>
      <c r="I119" s="50">
        <f>H119</f>
        <v>0</v>
      </c>
    </row>
    <row r="120" spans="1:9" x14ac:dyDescent="0.2">
      <c r="A120" s="27"/>
      <c r="B120" s="19"/>
      <c r="C120" s="19" t="s">
        <v>79</v>
      </c>
      <c r="D120" s="19"/>
      <c r="E120" s="19"/>
      <c r="F120" s="40"/>
      <c r="G120" s="40"/>
      <c r="H120" s="42">
        <v>0</v>
      </c>
      <c r="I120" s="50">
        <f>H120</f>
        <v>0</v>
      </c>
    </row>
    <row r="121" spans="1:9" x14ac:dyDescent="0.2">
      <c r="A121" s="27"/>
      <c r="B121" s="19"/>
      <c r="C121" s="19" t="s">
        <v>80</v>
      </c>
      <c r="D121" s="19"/>
      <c r="E121" s="19"/>
      <c r="F121" s="40"/>
      <c r="G121" s="40"/>
      <c r="H121" s="41">
        <v>40000</v>
      </c>
      <c r="I121" s="50">
        <f>H121</f>
        <v>40000</v>
      </c>
    </row>
    <row r="122" spans="1:9" x14ac:dyDescent="0.2">
      <c r="A122" s="27"/>
      <c r="B122" s="19"/>
      <c r="C122" s="19"/>
      <c r="D122" s="19"/>
      <c r="E122" s="19"/>
      <c r="F122" s="40"/>
      <c r="G122" s="40"/>
      <c r="H122" s="38"/>
      <c r="I122" s="49"/>
    </row>
    <row r="123" spans="1:9" x14ac:dyDescent="0.2">
      <c r="A123" s="27"/>
      <c r="B123" s="19"/>
      <c r="C123" s="19"/>
      <c r="D123" s="19"/>
      <c r="E123" s="19"/>
      <c r="F123" s="40"/>
      <c r="G123" s="40"/>
      <c r="H123" s="38"/>
      <c r="I123" s="49"/>
    </row>
    <row r="124" spans="1:9" ht="16.5" thickBot="1" x14ac:dyDescent="0.3">
      <c r="A124" s="32"/>
      <c r="B124" s="33"/>
      <c r="C124" s="34" t="s">
        <v>8</v>
      </c>
      <c r="D124" s="34"/>
      <c r="E124" s="34"/>
      <c r="F124" s="43"/>
      <c r="G124" s="43"/>
      <c r="H124" s="44">
        <f>+H116-H119-H120-H121-H118</f>
        <v>295000</v>
      </c>
      <c r="I124" s="51">
        <f>+I116-I119-I120-I121-I118</f>
        <v>235340.73333333334</v>
      </c>
    </row>
  </sheetData>
  <protectedRanges>
    <protectedRange algorithmName="SHA-512" hashValue="stoqgsixADovf/JFUJ91Zvr/1Pyt+XcZzlffkcFiVJ134DdbC+GoiSluoGbCJkIUk00XgOZYJt7w3k4F0CuT9g==" saltValue="05IhWAuoXaM+C6fNdiBlcA==" spinCount="100000" sqref="D79:D84" name="hectares"/>
  </protectedRanges>
  <dataValidations count="1">
    <dataValidation type="list" allowBlank="1" showInputMessage="1" showErrorMessage="1" sqref="F58" xr:uid="{CB4EA948-BDD6-4C3C-8A9A-A68CF5B333A0}">
      <formula1>"ja,nee"</formula1>
    </dataValidation>
  </dataValidations>
  <pageMargins left="0.7" right="0.7" top="0.98" bottom="0.75" header="9.3333333333333338E-2" footer="0.3"/>
  <pageSetup paperSize="9" scale="64" fitToHeight="0" orientation="landscape" verticalDpi="0" r:id="rId1"/>
  <headerFooter>
    <oddHeader>&amp;R&amp;G</oddHeader>
    <oddFooter>&amp;L&amp;G</oddFooter>
  </headerFooter>
  <rowBreaks count="2" manualBreakCount="2">
    <brk id="56" max="16383" man="1"/>
    <brk id="10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B78-5037-4CA2-A916-D35E1C18938F}">
  <dimension ref="A1:R89"/>
  <sheetViews>
    <sheetView topLeftCell="A73" zoomScaleNormal="100" workbookViewId="0"/>
  </sheetViews>
  <sheetFormatPr defaultRowHeight="12.75" x14ac:dyDescent="0.2"/>
  <cols>
    <col min="6" max="6" width="12.140625" customWidth="1"/>
  </cols>
  <sheetData>
    <row r="1" spans="1:18" ht="18.75" customHeight="1" x14ac:dyDescent="0.3">
      <c r="A1" s="14" t="s">
        <v>0</v>
      </c>
      <c r="B1" s="14"/>
      <c r="C1" s="14"/>
    </row>
    <row r="2" spans="1:18" x14ac:dyDescent="0.2">
      <c r="A2" s="15" t="s">
        <v>52</v>
      </c>
      <c r="B2" s="9"/>
      <c r="C2" s="9"/>
    </row>
    <row r="3" spans="1:18" x14ac:dyDescent="0.2">
      <c r="A3" s="18"/>
      <c r="B3" s="59"/>
      <c r="C3" s="59"/>
      <c r="D3" t="s">
        <v>145</v>
      </c>
    </row>
    <row r="4" spans="1:18" x14ac:dyDescent="0.2">
      <c r="A4" s="21"/>
      <c r="B4" s="60"/>
      <c r="C4" s="60"/>
      <c r="D4" s="22" t="s">
        <v>53</v>
      </c>
    </row>
    <row r="6" spans="1:18" s="57" customFormat="1" x14ac:dyDescent="0.2">
      <c r="A6" s="57" t="s">
        <v>10</v>
      </c>
      <c r="B6" s="57" t="s">
        <v>13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s="57" customFormat="1" x14ac:dyDescent="0.2"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s="57" customFormat="1" x14ac:dyDescent="0.2"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x14ac:dyDescent="0.2">
      <c r="F9" t="s">
        <v>73</v>
      </c>
      <c r="G9" t="s">
        <v>74</v>
      </c>
    </row>
    <row r="10" spans="1:18" x14ac:dyDescent="0.2">
      <c r="B10" t="s">
        <v>78</v>
      </c>
      <c r="E10" s="1">
        <v>5000</v>
      </c>
      <c r="F10" s="45">
        <v>0.5</v>
      </c>
      <c r="G10" s="2">
        <f>2-F10</f>
        <v>1.5</v>
      </c>
      <c r="H10" t="s">
        <v>75</v>
      </c>
    </row>
    <row r="11" spans="1:18" x14ac:dyDescent="0.2">
      <c r="B11" t="s">
        <v>78</v>
      </c>
      <c r="E11" s="1">
        <v>500</v>
      </c>
      <c r="F11" s="45">
        <v>0.5</v>
      </c>
      <c r="G11" s="2">
        <f>5-F11</f>
        <v>4.5</v>
      </c>
      <c r="H11" t="s">
        <v>76</v>
      </c>
    </row>
    <row r="12" spans="1:18" x14ac:dyDescent="0.2">
      <c r="F12" s="2"/>
    </row>
    <row r="13" spans="1:18" x14ac:dyDescent="0.2">
      <c r="C13" t="s">
        <v>20</v>
      </c>
      <c r="F13" s="2">
        <f>(E10*G10+E11*G11)/10000</f>
        <v>0.97499999999999998</v>
      </c>
      <c r="G13" t="s">
        <v>4</v>
      </c>
      <c r="H13" t="s">
        <v>162</v>
      </c>
    </row>
    <row r="14" spans="1:18" x14ac:dyDescent="0.2">
      <c r="F14" s="2"/>
    </row>
    <row r="15" spans="1:18" s="57" customFormat="1" x14ac:dyDescent="0.2">
      <c r="A15" s="57" t="s">
        <v>110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7" spans="1:10" x14ac:dyDescent="0.2">
      <c r="A17" t="s">
        <v>83</v>
      </c>
      <c r="D17" s="10">
        <v>0.8</v>
      </c>
      <c r="F17">
        <f>F13*D17</f>
        <v>0.78</v>
      </c>
      <c r="G17" t="s">
        <v>4</v>
      </c>
    </row>
    <row r="18" spans="1:10" x14ac:dyDescent="0.2">
      <c r="A18" t="s">
        <v>84</v>
      </c>
      <c r="D18" s="10">
        <v>0.2</v>
      </c>
      <c r="F18">
        <f>F13*D18</f>
        <v>0.19500000000000001</v>
      </c>
      <c r="G18" t="s">
        <v>4</v>
      </c>
    </row>
    <row r="20" spans="1:10" x14ac:dyDescent="0.2">
      <c r="A20" t="s">
        <v>83</v>
      </c>
      <c r="D20" s="45">
        <v>250</v>
      </c>
      <c r="E20" t="s">
        <v>85</v>
      </c>
      <c r="F20" s="6">
        <f>F17*D20/I20</f>
        <v>48.75</v>
      </c>
      <c r="G20" t="s">
        <v>86</v>
      </c>
      <c r="I20" s="45">
        <v>4</v>
      </c>
      <c r="J20" t="s">
        <v>87</v>
      </c>
    </row>
    <row r="21" spans="1:10" x14ac:dyDescent="0.2">
      <c r="A21" t="s">
        <v>83</v>
      </c>
      <c r="D21" s="45">
        <v>95</v>
      </c>
      <c r="E21" t="s">
        <v>88</v>
      </c>
      <c r="F21" s="6">
        <f>F17*D21/I21</f>
        <v>49.400000000000006</v>
      </c>
      <c r="G21" t="s">
        <v>86</v>
      </c>
      <c r="I21" s="45">
        <v>1.5</v>
      </c>
      <c r="J21" t="s">
        <v>89</v>
      </c>
    </row>
    <row r="22" spans="1:10" x14ac:dyDescent="0.2">
      <c r="A22" s="61"/>
      <c r="B22" s="61"/>
      <c r="F22" s="6"/>
    </row>
    <row r="24" spans="1:10" x14ac:dyDescent="0.2">
      <c r="A24" t="s">
        <v>84</v>
      </c>
      <c r="D24" s="45">
        <v>250</v>
      </c>
      <c r="E24" t="s">
        <v>85</v>
      </c>
      <c r="F24" s="6">
        <f>F18*D24/I24</f>
        <v>12.1875</v>
      </c>
      <c r="G24" t="s">
        <v>86</v>
      </c>
      <c r="I24" s="45">
        <v>4</v>
      </c>
      <c r="J24" t="s">
        <v>87</v>
      </c>
    </row>
    <row r="25" spans="1:10" x14ac:dyDescent="0.2">
      <c r="A25" t="s">
        <v>90</v>
      </c>
      <c r="D25" s="45">
        <v>70</v>
      </c>
      <c r="E25" t="s">
        <v>88</v>
      </c>
      <c r="F25" s="6">
        <f>F18*D25/I25</f>
        <v>9.1</v>
      </c>
      <c r="G25" t="s">
        <v>91</v>
      </c>
      <c r="I25" s="45">
        <v>1.5</v>
      </c>
      <c r="J25" t="s">
        <v>89</v>
      </c>
    </row>
    <row r="26" spans="1:10" x14ac:dyDescent="0.2">
      <c r="A26" s="61"/>
      <c r="B26" s="61"/>
      <c r="F26" s="6"/>
    </row>
    <row r="28" spans="1:10" x14ac:dyDescent="0.2">
      <c r="A28" t="s">
        <v>92</v>
      </c>
      <c r="C28" t="s">
        <v>93</v>
      </c>
      <c r="F28" s="1">
        <v>35</v>
      </c>
      <c r="G28" t="s">
        <v>94</v>
      </c>
    </row>
    <row r="29" spans="1:10" x14ac:dyDescent="0.2">
      <c r="A29" t="s">
        <v>84</v>
      </c>
      <c r="C29" t="s">
        <v>93</v>
      </c>
      <c r="F29" s="1">
        <v>9</v>
      </c>
      <c r="G29" t="s">
        <v>95</v>
      </c>
    </row>
    <row r="30" spans="1:10" x14ac:dyDescent="0.2">
      <c r="A30" s="61" t="s">
        <v>96</v>
      </c>
      <c r="B30" s="61"/>
      <c r="E30" s="61"/>
      <c r="F30">
        <f>SUM(F28:F29)</f>
        <v>44</v>
      </c>
      <c r="G30" t="s">
        <v>97</v>
      </c>
    </row>
    <row r="32" spans="1:10" x14ac:dyDescent="0.2">
      <c r="A32" t="s">
        <v>98</v>
      </c>
      <c r="E32" s="62"/>
      <c r="F32" s="41">
        <v>12</v>
      </c>
      <c r="I32" t="s">
        <v>144</v>
      </c>
    </row>
    <row r="34" spans="1:7" x14ac:dyDescent="0.2">
      <c r="A34" s="61" t="s">
        <v>99</v>
      </c>
      <c r="B34" s="61"/>
      <c r="F34" s="8">
        <f>F30*F32</f>
        <v>528</v>
      </c>
    </row>
    <row r="37" spans="1:7" s="9" customFormat="1" x14ac:dyDescent="0.2">
      <c r="A37" s="57" t="s">
        <v>111</v>
      </c>
      <c r="B37" s="57"/>
    </row>
    <row r="39" spans="1:7" x14ac:dyDescent="0.2">
      <c r="F39">
        <f>F13</f>
        <v>0.97499999999999998</v>
      </c>
    </row>
    <row r="40" spans="1:7" ht="13.5" thickBot="1" x14ac:dyDescent="0.25"/>
    <row r="41" spans="1:7" x14ac:dyDescent="0.2">
      <c r="A41" t="s">
        <v>83</v>
      </c>
      <c r="D41" s="63">
        <f>D17</f>
        <v>0.8</v>
      </c>
      <c r="F41">
        <f>F39*D41</f>
        <v>0.78</v>
      </c>
      <c r="G41" t="s">
        <v>4</v>
      </c>
    </row>
    <row r="42" spans="1:7" ht="13.5" thickBot="1" x14ac:dyDescent="0.25">
      <c r="A42" t="s">
        <v>84</v>
      </c>
      <c r="D42" s="64">
        <f>D18</f>
        <v>0.2</v>
      </c>
      <c r="F42">
        <f>F39*D42</f>
        <v>0.19500000000000001</v>
      </c>
      <c r="G42" t="s">
        <v>4</v>
      </c>
    </row>
    <row r="43" spans="1:7" x14ac:dyDescent="0.2">
      <c r="D43" s="77"/>
    </row>
    <row r="44" spans="1:7" x14ac:dyDescent="0.2">
      <c r="D44" t="s">
        <v>129</v>
      </c>
      <c r="E44" t="s">
        <v>44</v>
      </c>
      <c r="F44" t="s">
        <v>130</v>
      </c>
    </row>
    <row r="45" spans="1:7" x14ac:dyDescent="0.2">
      <c r="A45" t="s">
        <v>100</v>
      </c>
      <c r="D45" s="45">
        <v>10000</v>
      </c>
      <c r="E45" s="78">
        <v>0.75</v>
      </c>
      <c r="F45" s="2">
        <f>D45*E45</f>
        <v>7500</v>
      </c>
      <c r="G45" t="s">
        <v>101</v>
      </c>
    </row>
    <row r="46" spans="1:7" x14ac:dyDescent="0.2">
      <c r="A46" t="s">
        <v>102</v>
      </c>
      <c r="D46" s="45">
        <v>18000</v>
      </c>
      <c r="E46" s="78">
        <v>1</v>
      </c>
      <c r="F46" s="2">
        <f>D46*E46</f>
        <v>18000</v>
      </c>
      <c r="G46" t="s">
        <v>101</v>
      </c>
    </row>
    <row r="48" spans="1:7" x14ac:dyDescent="0.2">
      <c r="A48" t="s">
        <v>103</v>
      </c>
      <c r="F48">
        <f>F41*F45</f>
        <v>5850</v>
      </c>
      <c r="G48" t="s">
        <v>101</v>
      </c>
    </row>
    <row r="49" spans="1:8" x14ac:dyDescent="0.2">
      <c r="A49" t="s">
        <v>104</v>
      </c>
      <c r="F49">
        <f>F42*F46</f>
        <v>3510</v>
      </c>
      <c r="G49" t="s">
        <v>101</v>
      </c>
    </row>
    <row r="51" spans="1:8" x14ac:dyDescent="0.2">
      <c r="A51" s="69" t="s">
        <v>105</v>
      </c>
      <c r="F51" s="70">
        <f>SUM(F48:F49)</f>
        <v>9360</v>
      </c>
      <c r="G51" t="s">
        <v>101</v>
      </c>
    </row>
    <row r="53" spans="1:8" x14ac:dyDescent="0.2">
      <c r="A53" t="s">
        <v>106</v>
      </c>
      <c r="F53" s="65">
        <v>0.17</v>
      </c>
    </row>
    <row r="56" spans="1:8" x14ac:dyDescent="0.2">
      <c r="A56" t="s">
        <v>107</v>
      </c>
      <c r="F56" s="66">
        <f>F51*F53</f>
        <v>1591.2</v>
      </c>
    </row>
    <row r="58" spans="1:8" s="69" customFormat="1" x14ac:dyDescent="0.2">
      <c r="A58" s="57" t="s">
        <v>112</v>
      </c>
    </row>
    <row r="60" spans="1:8" x14ac:dyDescent="0.2">
      <c r="F60">
        <f>F13</f>
        <v>0.97499999999999998</v>
      </c>
      <c r="G60" t="s">
        <v>4</v>
      </c>
    </row>
    <row r="62" spans="1:8" x14ac:dyDescent="0.2">
      <c r="A62" t="s">
        <v>108</v>
      </c>
      <c r="D62" s="68">
        <v>350</v>
      </c>
      <c r="H62" t="s">
        <v>138</v>
      </c>
    </row>
    <row r="64" spans="1:8" x14ac:dyDescent="0.2">
      <c r="A64" s="69" t="s">
        <v>113</v>
      </c>
      <c r="F64" s="67">
        <f>F60*D62</f>
        <v>341.25</v>
      </c>
    </row>
    <row r="66" spans="1:18" s="57" customFormat="1" x14ac:dyDescent="0.2">
      <c r="A66" s="57" t="s">
        <v>12</v>
      </c>
      <c r="B66" s="57" t="s">
        <v>114</v>
      </c>
    </row>
    <row r="68" spans="1:18" x14ac:dyDescent="0.2">
      <c r="B68" t="s">
        <v>116</v>
      </c>
      <c r="F68" s="35">
        <v>0</v>
      </c>
      <c r="H68" t="s">
        <v>161</v>
      </c>
    </row>
    <row r="69" spans="1:18" x14ac:dyDescent="0.2">
      <c r="B69" t="s">
        <v>115</v>
      </c>
      <c r="F69" s="35">
        <v>0</v>
      </c>
      <c r="H69" t="s">
        <v>117</v>
      </c>
    </row>
    <row r="70" spans="1:18" x14ac:dyDescent="0.2">
      <c r="B70" t="s">
        <v>48</v>
      </c>
      <c r="F70" s="35">
        <v>0</v>
      </c>
      <c r="H70" t="s">
        <v>117</v>
      </c>
    </row>
    <row r="71" spans="1:18" x14ac:dyDescent="0.2">
      <c r="B71" t="s">
        <v>118</v>
      </c>
      <c r="F71" s="35">
        <v>0</v>
      </c>
      <c r="H71" t="s">
        <v>135</v>
      </c>
    </row>
    <row r="72" spans="1:18" x14ac:dyDescent="0.2">
      <c r="B72" s="1" t="s">
        <v>50</v>
      </c>
      <c r="C72" s="1"/>
      <c r="F72" s="35">
        <v>0</v>
      </c>
    </row>
    <row r="74" spans="1:18" s="12" customFormat="1" x14ac:dyDescent="0.2">
      <c r="A74"/>
      <c r="B74"/>
      <c r="C74" t="s">
        <v>49</v>
      </c>
      <c r="D74"/>
      <c r="E74"/>
      <c r="F74" s="8">
        <f>SUM(F68:F72)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6" spans="1:18" s="57" customFormat="1" x14ac:dyDescent="0.2">
      <c r="A76" s="57" t="s">
        <v>14</v>
      </c>
      <c r="B76" s="57" t="s">
        <v>131</v>
      </c>
    </row>
    <row r="77" spans="1:18" x14ac:dyDescent="0.2">
      <c r="F77" s="8"/>
    </row>
    <row r="78" spans="1:18" x14ac:dyDescent="0.2">
      <c r="F78" s="80"/>
      <c r="G78" s="79">
        <f>F13</f>
        <v>0.97499999999999998</v>
      </c>
      <c r="H78" t="s">
        <v>132</v>
      </c>
    </row>
    <row r="79" spans="1:18" x14ac:dyDescent="0.2">
      <c r="B79" t="s">
        <v>133</v>
      </c>
      <c r="F79" s="36">
        <v>100</v>
      </c>
      <c r="G79" s="81"/>
    </row>
    <row r="80" spans="1:18" x14ac:dyDescent="0.2">
      <c r="B80" t="s">
        <v>134</v>
      </c>
      <c r="F80" s="36">
        <v>50</v>
      </c>
      <c r="G80" s="81"/>
    </row>
    <row r="81" spans="1:7" x14ac:dyDescent="0.2">
      <c r="F81" s="80"/>
      <c r="G81" s="3">
        <f>G78*(F79-F80)</f>
        <v>48.75</v>
      </c>
    </row>
    <row r="82" spans="1:7" x14ac:dyDescent="0.2">
      <c r="F82" s="3"/>
      <c r="G82" s="11"/>
    </row>
    <row r="83" spans="1:7" x14ac:dyDescent="0.2">
      <c r="A83" t="s">
        <v>119</v>
      </c>
      <c r="C83" t="s">
        <v>126</v>
      </c>
      <c r="F83" s="8">
        <f>F34</f>
        <v>528</v>
      </c>
    </row>
    <row r="84" spans="1:7" x14ac:dyDescent="0.2">
      <c r="C84" t="s">
        <v>127</v>
      </c>
      <c r="F84" s="8">
        <f>F56</f>
        <v>1591.2</v>
      </c>
    </row>
    <row r="85" spans="1:7" x14ac:dyDescent="0.2">
      <c r="C85" t="s">
        <v>109</v>
      </c>
      <c r="F85" s="8">
        <f>F64</f>
        <v>341.25</v>
      </c>
    </row>
    <row r="86" spans="1:7" x14ac:dyDescent="0.2">
      <c r="C86" t="s">
        <v>128</v>
      </c>
      <c r="F86" s="8">
        <f>F74</f>
        <v>0</v>
      </c>
    </row>
    <row r="87" spans="1:7" x14ac:dyDescent="0.2">
      <c r="C87" t="s">
        <v>123</v>
      </c>
      <c r="F87" s="8">
        <f>-G81</f>
        <v>-48.75</v>
      </c>
    </row>
    <row r="89" spans="1:7" ht="15.75" x14ac:dyDescent="0.25">
      <c r="A89" s="52"/>
      <c r="B89" s="52"/>
      <c r="C89" s="71" t="s">
        <v>51</v>
      </c>
      <c r="D89" s="71"/>
      <c r="E89" s="71"/>
      <c r="F89" s="72">
        <f>SUM(F83:F87)</f>
        <v>2411.6999999999998</v>
      </c>
    </row>
  </sheetData>
  <pageMargins left="0.7" right="0.7" top="1.3958333333333333" bottom="0.75" header="0.3" footer="0.125"/>
  <pageSetup paperSize="9" orientation="landscape" verticalDpi="0" r:id="rId1"/>
  <headerFooter>
    <oddHeader>&amp;R&amp;G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voorblad</vt:lpstr>
      <vt:lpstr>akkerbouw</vt:lpstr>
      <vt:lpstr>melkvee</vt:lpstr>
      <vt:lpstr>akkerbouw!Afdrukbereik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Bos, Hendrik Jan</dc:creator>
  <cp:lastModifiedBy>Bos, Hendrik Jan</cp:lastModifiedBy>
  <cp:lastPrinted>2021-10-11T10:35:24Z</cp:lastPrinted>
  <dcterms:created xsi:type="dcterms:W3CDTF">2021-10-04T19:23:04Z</dcterms:created>
  <dcterms:modified xsi:type="dcterms:W3CDTF">2021-10-11T10:45:43Z</dcterms:modified>
</cp:coreProperties>
</file>